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570" windowHeight="113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<sst xmlns="http://schemas.openxmlformats.org/spreadsheetml/2006/main" count="50" uniqueCount="42">
  <si>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GEAR TEST RADIUS CALCULATION PROGRAM (BASED ON AGMA 2002-B88)</t>
  </si>
  <si>
    <t>ANALYSIS FOR PART #:</t>
  </si>
  <si>
    <t>NO.:</t>
  </si>
  <si>
    <t>STD PA:</t>
  </si>
  <si>
    <t>STD DP:</t>
  </si>
  <si>
    <t>CTT MAX:</t>
  </si>
  <si>
    <t>CTT MIN:</t>
  </si>
  <si>
    <t>OPR PA:</t>
  </si>
  <si>
    <t>TEST GEAR:</t>
  </si>
  <si>
    <t>MASTER GEAR:</t>
  </si>
  <si>
    <t>GEAR TEST RADIUS:</t>
  </si>
  <si>
    <t>MAX:</t>
  </si>
  <si>
    <t>MIN:</t>
  </si>
  <si>
    <t>AGMA QUALITY:</t>
  </si>
  <si>
    <t>TCE:</t>
  </si>
  <si>
    <t>Q#:</t>
  </si>
  <si>
    <t xml:space="preserve"> </t>
  </si>
  <si>
    <t>INV FUNCTION OF OPR PA:</t>
  </si>
  <si>
    <t xml:space="preserve">  CALCULATION IS BASED ON THEORETICAL MASTER WITH A NOMINAL PITCH DIAMETER</t>
  </si>
  <si>
    <t xml:space="preserve">     Iterative calculation for Opr. Pa.:</t>
  </si>
  <si>
    <t>NO:</t>
  </si>
  <si>
    <t>CALC JO-BLOC STACK:</t>
  </si>
  <si>
    <t>FROM MOW MAX</t>
  </si>
  <si>
    <t>MOW MAX:</t>
  </si>
  <si>
    <t>WIRE DIA:</t>
  </si>
  <si>
    <t>ODD IB</t>
  </si>
  <si>
    <t>EVEN IB</t>
  </si>
  <si>
    <t>ODD CTT</t>
  </si>
  <si>
    <t>EVEN CTT</t>
  </si>
  <si>
    <t>ODD GTR</t>
  </si>
  <si>
    <t>EVEN GTR</t>
  </si>
  <si>
    <t xml:space="preserve">     NO:</t>
  </si>
  <si>
    <t>CTT</t>
  </si>
  <si>
    <t>INVbOPR</t>
  </si>
  <si>
    <t>OPR PA</t>
  </si>
  <si>
    <t>ITERATE</t>
  </si>
  <si>
    <t>P/N:</t>
  </si>
  <si>
    <t>REF CIRCULAR TOOTH THICKNESS:</t>
  </si>
  <si>
    <t xml:space="preserve">CALCULATION FOR GEAR TEST RADIUS AND JO-BLOC STACK FROM GIVEN MOW </t>
  </si>
  <si>
    <t>USE THE FOLLOWING BLOCKS:</t>
  </si>
  <si>
    <t>TEST DIA:</t>
  </si>
  <si>
    <t>AL-21036-1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</si>
</sst>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E+00"/>
    <numFmt numFmtId="173" formatCode="00000"/>
    <numFmt numFmtId="174" formatCode="0.0000E+00"/>
    <numFmt numFmtId="175" formatCode="0.00000"/>
    <numFmt numFmtId="176" formatCode="0.0000"/>
    <numFmt numFmtId="177" formatCode="0.0"/>
    <numFmt numFmtId="178" formatCode="0.000000"/>
    <numFmt numFmtId="179" formatCode="0.00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u val="single"/>
      <sz val="8"/>
      <name val="Arial"/>
      <family val="0"/>
    </font>
    <font>
      <b/>
      <u val="single"/>
      <sz val="9"/>
      <name val="Arial"/>
      <family val="2"/>
    </font>
    <font>
      <sz val="10"/>
      <color indexed="26"/>
      <name val="Arial"/>
      <family val="0"/>
    </font>
    <font>
      <b/>
      <u val="single"/>
      <sz val="10"/>
      <color indexed="26"/>
      <name val="Arial"/>
      <family val="0"/>
    </font>
    <font>
      <sz val="8"/>
      <color indexed="26"/>
      <name val="Arial"/>
      <family val="0"/>
    </font>
    <font>
      <sz val="9"/>
      <color indexed="26"/>
      <name val="Arial"/>
      <family val="0"/>
    </font>
    <font>
      <b/>
      <i/>
      <sz val="10"/>
      <color indexed="26"/>
      <name val="Arial"/>
      <family val="2"/>
    </font>
    <font>
      <i/>
      <sz val="10"/>
      <color indexed="26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5" fontId="1" fillId="2" borderId="0" xfId="0" applyNumberFormat="1" applyFont="1" applyFill="1" applyAlignment="1" applyProtection="1">
      <alignment horizontal="center"/>
      <protection/>
    </xf>
    <xf numFmtId="1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76" fontId="0" fillId="3" borderId="1" xfId="0" applyNumberFormat="1" applyFill="1" applyBorder="1" applyAlignment="1" applyProtection="1">
      <alignment horizontal="center"/>
      <protection locked="0"/>
    </xf>
    <xf numFmtId="175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49" fontId="1" fillId="2" borderId="0" xfId="0" applyNumberFormat="1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NumberFormat="1" applyFill="1" applyAlignment="1" applyProtection="1">
      <alignment horizontal="right"/>
      <protection/>
    </xf>
    <xf numFmtId="49" fontId="6" fillId="2" borderId="0" xfId="0" applyNumberFormat="1" applyFont="1" applyFill="1" applyAlignment="1" applyProtection="1">
      <alignment horizontal="left"/>
      <protection/>
    </xf>
    <xf numFmtId="49" fontId="6" fillId="2" borderId="0" xfId="0" applyNumberFormat="1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176" fontId="1" fillId="2" borderId="0" xfId="0" applyNumberFormat="1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left"/>
      <protection/>
    </xf>
    <xf numFmtId="176" fontId="0" fillId="2" borderId="0" xfId="0" applyNumberFormat="1" applyFill="1" applyAlignment="1" applyProtection="1">
      <alignment horizontal="center"/>
      <protection/>
    </xf>
    <xf numFmtId="176" fontId="1" fillId="2" borderId="0" xfId="0" applyNumberFormat="1" applyFont="1" applyFill="1" applyAlignment="1" applyProtection="1">
      <alignment horizontal="center"/>
      <protection/>
    </xf>
    <xf numFmtId="176" fontId="9" fillId="2" borderId="0" xfId="0" applyNumberFormat="1" applyFon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175" fontId="1" fillId="2" borderId="0" xfId="0" applyNumberFormat="1" applyFon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right"/>
      <protection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11" sqref="C11"/>
    </sheetView>
  </sheetViews>
  <sheetFormatPr defaultColWidth="9.140625" defaultRowHeight="12.75"/>
  <cols>
    <col min="1" max="5" width="9.140625" style="1" customWidth="1"/>
    <col min="6" max="6" width="10.28125" style="1" bestFit="1" customWidth="1"/>
    <col min="7" max="9" width="9.140625" style="1" customWidth="1"/>
    <col min="10" max="10" width="9.140625" style="47" customWidth="1"/>
    <col min="11" max="16384" width="9.140625" style="1" customWidth="1"/>
  </cols>
  <sheetData>
    <row r="1" spans="1:9" ht="12.75">
      <c r="A1" s="55" t="s">
        <v>38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8"/>
      <c r="B3" s="9" t="s">
        <v>36</v>
      </c>
      <c r="C3" s="59" t="s">
        <v>41</v>
      </c>
      <c r="D3" s="60"/>
      <c r="E3" s="61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57" t="s">
        <v>8</v>
      </c>
      <c r="C5" s="57"/>
      <c r="D5" s="58" t="s">
        <v>9</v>
      </c>
      <c r="E5" s="58"/>
      <c r="F5" s="8"/>
      <c r="G5" s="10" t="s">
        <v>10</v>
      </c>
      <c r="H5" s="8"/>
      <c r="I5" s="8"/>
    </row>
    <row r="6" spans="1:9" ht="12.75">
      <c r="A6" s="8"/>
      <c r="B6" s="11"/>
      <c r="C6" s="11"/>
      <c r="D6" s="8"/>
      <c r="E6" s="8"/>
      <c r="F6" s="8"/>
      <c r="G6" s="8"/>
      <c r="H6" s="8"/>
      <c r="I6" s="8"/>
    </row>
    <row r="7" spans="1:9" ht="12.75">
      <c r="A7" s="8"/>
      <c r="B7" s="12" t="s">
        <v>20</v>
      </c>
      <c r="C7" s="3">
        <v>27</v>
      </c>
      <c r="D7" s="13" t="s">
        <v>31</v>
      </c>
      <c r="E7" s="3">
        <v>48</v>
      </c>
      <c r="F7" s="8"/>
      <c r="G7" s="12" t="s">
        <v>11</v>
      </c>
      <c r="H7" s="2">
        <f>IF(E30=1,D31,D30)</f>
        <v>0.7447473092769628</v>
      </c>
      <c r="I7" s="8"/>
    </row>
    <row r="8" spans="1:9" ht="12.75">
      <c r="A8" s="8"/>
      <c r="B8" s="12" t="s">
        <v>4</v>
      </c>
      <c r="C8" s="50">
        <v>18</v>
      </c>
      <c r="D8" s="14" t="s">
        <v>40</v>
      </c>
      <c r="E8" s="7">
        <v>1.5003</v>
      </c>
      <c r="F8" s="8"/>
      <c r="G8" s="12"/>
      <c r="H8" s="8"/>
      <c r="I8" s="8"/>
    </row>
    <row r="9" spans="1:9" ht="12.75">
      <c r="A9" s="8"/>
      <c r="B9" s="12" t="s">
        <v>3</v>
      </c>
      <c r="C9" s="4">
        <v>20</v>
      </c>
      <c r="D9" s="8"/>
      <c r="E9" s="8"/>
      <c r="F9" s="8"/>
      <c r="G9" s="8"/>
      <c r="H9" s="8"/>
      <c r="I9" s="8"/>
    </row>
    <row r="10" spans="1:9" ht="12.75">
      <c r="A10" s="8"/>
      <c r="B10" s="12" t="s">
        <v>23</v>
      </c>
      <c r="C10" s="5">
        <v>1.622</v>
      </c>
      <c r="D10" s="8"/>
      <c r="E10" s="8"/>
      <c r="F10" s="8"/>
      <c r="G10" s="8"/>
      <c r="H10" s="8"/>
      <c r="I10" s="8"/>
    </row>
    <row r="11" spans="1:9" ht="12.75">
      <c r="A11" s="8"/>
      <c r="B11" s="15" t="s">
        <v>24</v>
      </c>
      <c r="C11" s="6">
        <v>0.096</v>
      </c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62" t="s">
        <v>37</v>
      </c>
      <c r="D14" s="62"/>
      <c r="E14" s="62"/>
      <c r="F14" s="16">
        <f>F31</f>
        <v>0.08347953036545636</v>
      </c>
      <c r="G14" s="54" t="s">
        <v>22</v>
      </c>
      <c r="H14" s="54"/>
      <c r="I14" s="8"/>
    </row>
    <row r="15" spans="1:9" ht="12.75">
      <c r="A15" s="8"/>
      <c r="B15" s="8"/>
      <c r="C15" s="17"/>
      <c r="D15" s="17"/>
      <c r="E15" s="17"/>
      <c r="F15" s="16"/>
      <c r="G15" s="18"/>
      <c r="H15" s="1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53" t="s">
        <v>21</v>
      </c>
      <c r="D18" s="53"/>
      <c r="E18" s="53"/>
      <c r="F18" s="16">
        <f>IF(H7=0,"NONE",((0.5*(E8+(2*H7)))-0.5))</f>
        <v>0.9948973092769626</v>
      </c>
      <c r="G18" s="54" t="s">
        <v>22</v>
      </c>
      <c r="H18" s="54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19"/>
      <c r="G20" s="8"/>
      <c r="H20" s="8"/>
      <c r="I20" s="8"/>
    </row>
    <row r="21" spans="1:9" ht="12.75">
      <c r="A21" s="8"/>
      <c r="B21" s="8"/>
      <c r="C21" s="52" t="s">
        <v>39</v>
      </c>
      <c r="D21" s="52"/>
      <c r="E21" s="52"/>
      <c r="F21" s="20">
        <f>IF(F18-F23-F24=G22,G22-G21,0)</f>
        <v>0</v>
      </c>
      <c r="G21" s="21">
        <f>G22-(TRUNC(F18,0))</f>
        <v>0.75</v>
      </c>
      <c r="H21" s="8"/>
      <c r="I21" s="8"/>
    </row>
    <row r="22" spans="1:9" ht="12.75">
      <c r="A22" s="8"/>
      <c r="B22" s="8"/>
      <c r="C22" s="8"/>
      <c r="D22" s="8"/>
      <c r="E22" s="8"/>
      <c r="F22" s="16">
        <f>IF(G22&gt;1,G21,F18-F23-F24)</f>
        <v>0.75</v>
      </c>
      <c r="G22" s="21">
        <f>F18-F23-F24</f>
        <v>0.75</v>
      </c>
      <c r="H22" s="8"/>
      <c r="I22" s="8"/>
    </row>
    <row r="23" spans="1:9" ht="12.75">
      <c r="A23" s="8"/>
      <c r="B23" s="8"/>
      <c r="C23" s="8"/>
      <c r="D23" s="8"/>
      <c r="E23" s="8"/>
      <c r="F23" s="16">
        <f>TRUNC((IF((G23&gt;0.05),((F18-0.05)-(TRUNC(F18,1)))+0.1,(G23+0.1))),3)</f>
        <v>0.144</v>
      </c>
      <c r="G23" s="21">
        <f>TRUNC((F18-(TRUNC(F18,1))),3)</f>
        <v>0.094</v>
      </c>
      <c r="H23" s="22"/>
      <c r="I23" s="22"/>
    </row>
    <row r="24" spans="1:9" ht="12.75">
      <c r="A24" s="8"/>
      <c r="B24" s="8"/>
      <c r="C24" s="8"/>
      <c r="D24" s="8"/>
      <c r="E24" s="8"/>
      <c r="F24" s="16">
        <f>0.1+(F18-(TRUNC(F18,3)))</f>
        <v>0.10089730927696264</v>
      </c>
      <c r="G24" s="23"/>
      <c r="H24" s="8"/>
      <c r="I24" s="8"/>
    </row>
    <row r="25" spans="1:9" ht="12.75">
      <c r="A25" s="8"/>
      <c r="B25" s="8"/>
      <c r="C25" s="8"/>
      <c r="D25" s="8"/>
      <c r="E25" s="8"/>
      <c r="F25" s="16"/>
      <c r="G25" s="23"/>
      <c r="H25" s="8"/>
      <c r="I25" s="8"/>
    </row>
    <row r="26" spans="1:10" ht="12.75">
      <c r="A26" s="24"/>
      <c r="B26" s="24"/>
      <c r="C26" s="23"/>
      <c r="D26" s="23"/>
      <c r="E26" s="23" t="s">
        <v>35</v>
      </c>
      <c r="F26" s="23">
        <f>1.441*(D28^(1/3))-(0.374*D28)</f>
        <v>0.34203012737745436</v>
      </c>
      <c r="G26" s="23"/>
      <c r="H26" s="23"/>
      <c r="I26" s="23"/>
      <c r="J26" s="48"/>
    </row>
    <row r="27" spans="1:10" ht="12.75">
      <c r="A27" s="24"/>
      <c r="B27" s="24"/>
      <c r="C27" s="23" t="s">
        <v>34</v>
      </c>
      <c r="D27" s="23">
        <f>F28*(180/PI())</f>
        <v>19.59822431667905</v>
      </c>
      <c r="E27" s="23"/>
      <c r="F27" s="23">
        <f>F26+(D28-(TAN(F26)-F26))/((TAN(F26))^2)</f>
        <v>0.3420535436056007</v>
      </c>
      <c r="G27" s="23"/>
      <c r="H27" s="23"/>
      <c r="I27" s="23"/>
      <c r="J27" s="48"/>
    </row>
    <row r="28" spans="1:10" ht="12.75">
      <c r="A28" s="25"/>
      <c r="B28" s="25"/>
      <c r="C28" s="23" t="s">
        <v>33</v>
      </c>
      <c r="D28" s="23">
        <f>((C8*((PI()/C8/2)+F31))-PI())/(C7+E7)+((TAN(C9*(PI()/180)))-(C9*(PI()/180)))</f>
        <v>0.013995520131114022</v>
      </c>
      <c r="E28" s="26"/>
      <c r="F28" s="23">
        <f>F27+(D28-(TAN(F27)-F27))/((TAN(F27))^2)</f>
        <v>0.34205354187046527</v>
      </c>
      <c r="G28" s="23"/>
      <c r="H28" s="23"/>
      <c r="I28" s="23"/>
      <c r="J28" s="48"/>
    </row>
    <row r="29" spans="1:10" ht="12.75">
      <c r="A29" s="25"/>
      <c r="B29" s="25"/>
      <c r="C29" s="23"/>
      <c r="D29" s="23"/>
      <c r="E29" s="23"/>
      <c r="F29" s="23"/>
      <c r="G29" s="23"/>
      <c r="H29" s="23"/>
      <c r="I29" s="23"/>
      <c r="J29" s="48"/>
    </row>
    <row r="30" spans="1:10" ht="12.75">
      <c r="A30" s="25"/>
      <c r="B30" s="25"/>
      <c r="C30" s="27" t="s">
        <v>29</v>
      </c>
      <c r="D30" s="23">
        <f>((((C7/C8)*(COS(C9*(PI()/180))))/(2*(COS(D27*(PI()/180)))))*((C7+E7)/C7))-((E7/C8)/2)</f>
        <v>0.7447473092769628</v>
      </c>
      <c r="E30" s="23">
        <f>C7/(EVEN(C7))</f>
        <v>0.9642857142857143</v>
      </c>
      <c r="F30" s="23"/>
      <c r="G30" s="23"/>
      <c r="H30" s="23"/>
      <c r="I30" s="23"/>
      <c r="J30" s="49"/>
    </row>
    <row r="31" spans="1:10" ht="12.75">
      <c r="A31" s="28"/>
      <c r="B31" s="28"/>
      <c r="C31" s="27" t="s">
        <v>30</v>
      </c>
      <c r="D31" s="23">
        <f>((((C7/C8)*(COS(C9*(PI()/180))))/(2*(COS(D27*(PI()/180)))))*((C7+E7)/C7))-((E7/C8)/2)</f>
        <v>0.7447473092769628</v>
      </c>
      <c r="E31" s="23" t="s">
        <v>32</v>
      </c>
      <c r="F31" s="23">
        <f>IF(E30=1,F33,F32)</f>
        <v>0.08347953036545636</v>
      </c>
      <c r="G31" s="23">
        <f>(TAN(C9*(PI()/180)))-(C9*(PI()/180))</f>
        <v>0.014904383867336446</v>
      </c>
      <c r="H31" s="23">
        <f>IF(EVEN(C7),(ACOS(((C7/C8)*(COS(C9*(PI()/180))))/(C10-C11)))/(PI()/180),I33)</f>
        <v>22.529536861253913</v>
      </c>
      <c r="I31" s="23">
        <f>J33*(180/PI())</f>
        <v>52.38890550887441</v>
      </c>
      <c r="J31" s="49">
        <f>((C8*((PI()/C8/2)+C10))-PI())/(C7+E7)+((TAN(C9*(PI()/180)))-(C9*(PI()/180)))</f>
        <v>0.3832404328434045</v>
      </c>
    </row>
    <row r="32" spans="1:10" ht="12.75">
      <c r="A32" s="28"/>
      <c r="B32" s="28"/>
      <c r="C32" s="29" t="s">
        <v>25</v>
      </c>
      <c r="D32" s="23">
        <f>(TAN(I33*(PI()/180)))-(I33*(PI()/180))</f>
        <v>0.022309498083143753</v>
      </c>
      <c r="E32" s="29" t="s">
        <v>27</v>
      </c>
      <c r="F32" s="23">
        <f>(C7/C8)*((PI()/C7)+(D32-G31-(C11/G32)))</f>
        <v>0.08347953036545636</v>
      </c>
      <c r="G32" s="23">
        <f>((C7/C8)*(COS(C9*(PI()/180))))</f>
        <v>1.4095389311788626</v>
      </c>
      <c r="H32" s="23">
        <f>(C10-C11)/((COS((90/C7)*(PI()/180))))</f>
        <v>1.5285861257935782</v>
      </c>
      <c r="I32" s="23">
        <f>((((C7/C8)*(COS(C9*(PI()/180))))/(2*(COS(I31*(PI()/180)))))*((C7+E7)/C7))-((E7/C8)/2)</f>
        <v>1.8744293312302516</v>
      </c>
      <c r="J32" s="49">
        <f>1.441*(J31^(1/3))-(0.374*J31)</f>
        <v>0.9033653401789123</v>
      </c>
    </row>
    <row r="33" spans="1:10" ht="12.75">
      <c r="A33" s="25"/>
      <c r="B33" s="25"/>
      <c r="C33" s="29" t="s">
        <v>26</v>
      </c>
      <c r="D33" s="23">
        <f>(TAN(H31*(PI()/180)))-(H31*(PI()/180))</f>
        <v>0.021603058195049707</v>
      </c>
      <c r="E33" s="29" t="s">
        <v>28</v>
      </c>
      <c r="F33" s="23">
        <f>(C7/C8)*((PI()/C7)+(D33-G31-(C11/G32)))</f>
        <v>0.08241987053331529</v>
      </c>
      <c r="G33" s="30"/>
      <c r="H33" s="23">
        <f>IF(ODD(C7),(D32),(D33))</f>
        <v>0.022309498083143753</v>
      </c>
      <c r="I33" s="23">
        <f>(ACOS(((C7/C8)*(COS(C9*(PI()/180))))/H32)/(PI()/180))</f>
        <v>22.762081794607166</v>
      </c>
      <c r="J33" s="49">
        <f>J32+(J31-(TAN(J32)-J32))/((TAN(J32))^2)</f>
        <v>0.9143588926460537</v>
      </c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49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</sheetData>
  <sheetProtection sheet="1" objects="1" scenarios="1" selectLockedCells="1"/>
  <mergeCells count="9">
    <mergeCell ref="C21:E21"/>
    <mergeCell ref="C18:E18"/>
    <mergeCell ref="G18:H18"/>
    <mergeCell ref="A1:I1"/>
    <mergeCell ref="B5:C5"/>
    <mergeCell ref="D5:E5"/>
    <mergeCell ref="C3:E3"/>
    <mergeCell ref="C14:E14"/>
    <mergeCell ref="G14:H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11" sqref="B11"/>
    </sheetView>
  </sheetViews>
  <sheetFormatPr defaultColWidth="9.140625" defaultRowHeight="12.75"/>
  <cols>
    <col min="1" max="9" width="9.140625" style="1" customWidth="1"/>
    <col min="10" max="10" width="9.140625" style="47" customWidth="1"/>
    <col min="11" max="16384" width="9.140625" style="1" customWidth="1"/>
  </cols>
  <sheetData>
    <row r="1" spans="1:10" ht="12.75">
      <c r="A1" s="31"/>
      <c r="B1" s="32" t="s">
        <v>0</v>
      </c>
      <c r="C1" s="31"/>
      <c r="D1" s="31"/>
      <c r="E1" s="31"/>
      <c r="F1" s="31"/>
      <c r="G1" s="31"/>
      <c r="H1" s="31"/>
      <c r="I1" s="31"/>
      <c r="J1" s="46"/>
    </row>
    <row r="2" spans="1:9" ht="12.75">
      <c r="A2" s="8"/>
      <c r="B2" s="33"/>
      <c r="C2" s="34"/>
      <c r="D2" s="34"/>
      <c r="E2" s="34"/>
      <c r="F2" s="34"/>
      <c r="G2" s="34"/>
      <c r="H2" s="34"/>
      <c r="I2" s="34"/>
    </row>
    <row r="3" spans="1:9" ht="12.75">
      <c r="A3" s="35" t="s">
        <v>18</v>
      </c>
      <c r="B3" s="35"/>
      <c r="C3" s="34"/>
      <c r="D3" s="34"/>
      <c r="E3" s="34"/>
      <c r="F3" s="34"/>
      <c r="G3" s="34"/>
      <c r="H3" s="34"/>
      <c r="I3" s="34"/>
    </row>
    <row r="4" spans="1:9" ht="12.75">
      <c r="A4" s="36" t="s">
        <v>16</v>
      </c>
      <c r="B4" s="37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10" t="s">
        <v>1</v>
      </c>
      <c r="B6" s="8"/>
      <c r="C6" s="8"/>
      <c r="D6" s="63">
        <v>5541416</v>
      </c>
      <c r="E6" s="64"/>
      <c r="F6" s="8"/>
      <c r="G6" s="8"/>
      <c r="H6" s="8"/>
      <c r="I6" s="8"/>
    </row>
    <row r="7" spans="1:9" ht="12.75">
      <c r="A7" s="10"/>
      <c r="B7" s="8"/>
      <c r="C7" s="8"/>
      <c r="D7" s="34"/>
      <c r="E7" s="34"/>
      <c r="F7" s="8"/>
      <c r="G7" s="8"/>
      <c r="H7" s="8"/>
      <c r="I7" s="8"/>
    </row>
    <row r="8" spans="1:9" ht="12.75">
      <c r="A8" s="10" t="s">
        <v>8</v>
      </c>
      <c r="B8" s="8"/>
      <c r="C8" s="8"/>
      <c r="D8" s="10" t="s">
        <v>9</v>
      </c>
      <c r="E8" s="8"/>
      <c r="F8" s="8"/>
      <c r="G8" s="10" t="s">
        <v>10</v>
      </c>
      <c r="H8" s="8"/>
      <c r="I8" s="8"/>
    </row>
    <row r="9" spans="1:9" ht="12.75">
      <c r="A9" s="8" t="s">
        <v>2</v>
      </c>
      <c r="B9" s="45">
        <v>11</v>
      </c>
      <c r="C9" s="8"/>
      <c r="D9" s="8" t="s">
        <v>2</v>
      </c>
      <c r="E9" s="45">
        <v>72</v>
      </c>
      <c r="F9" s="8"/>
      <c r="G9" s="8" t="s">
        <v>11</v>
      </c>
      <c r="H9" s="38">
        <f>((((B9/B11)*(COS(B10*(PI()/180))))/(2*(COS(B17*(PI()/180)))))*((B9+E9)/B9))-((E9/B11)/2)</f>
        <v>0.10364296099023929</v>
      </c>
      <c r="I9" s="8"/>
    </row>
    <row r="10" spans="1:9" ht="12.75">
      <c r="A10" s="8" t="s">
        <v>3</v>
      </c>
      <c r="B10" s="45">
        <v>20</v>
      </c>
      <c r="C10" s="8"/>
      <c r="D10" s="8"/>
      <c r="E10" s="8"/>
      <c r="F10" s="8"/>
      <c r="G10" s="8" t="s">
        <v>12</v>
      </c>
      <c r="H10" s="38">
        <f>H9-E13-((B12-B13)/(2*(TAN(B17*(PI()/180)))))</f>
        <v>0.10252247389317044</v>
      </c>
      <c r="I10" s="8"/>
    </row>
    <row r="11" spans="1:9" ht="12.75">
      <c r="A11" s="8" t="s">
        <v>4</v>
      </c>
      <c r="B11" s="51">
        <v>64</v>
      </c>
      <c r="C11" s="8"/>
      <c r="D11" s="10" t="s">
        <v>13</v>
      </c>
      <c r="E11" s="8"/>
      <c r="F11" s="8"/>
      <c r="G11" s="8"/>
      <c r="H11" s="8"/>
      <c r="I11" s="8"/>
    </row>
    <row r="12" spans="1:9" ht="12.75">
      <c r="A12" s="8" t="s">
        <v>5</v>
      </c>
      <c r="B12" s="45">
        <v>0.03865</v>
      </c>
      <c r="C12" s="8"/>
      <c r="D12" s="8" t="s">
        <v>15</v>
      </c>
      <c r="E12" s="45"/>
      <c r="F12" s="8"/>
      <c r="G12" s="8"/>
      <c r="H12" s="8"/>
      <c r="I12" s="8"/>
    </row>
    <row r="13" spans="1:9" ht="12.75">
      <c r="A13" s="8" t="s">
        <v>6</v>
      </c>
      <c r="B13" s="45">
        <v>0.03766</v>
      </c>
      <c r="C13" s="8"/>
      <c r="D13" s="8" t="s">
        <v>14</v>
      </c>
      <c r="E13" s="45"/>
      <c r="F13" s="8"/>
      <c r="G13" s="8"/>
      <c r="H13" s="8"/>
      <c r="I13" s="8"/>
    </row>
    <row r="14" spans="1:9" ht="12.75">
      <c r="A14" s="8"/>
      <c r="B14" s="34"/>
      <c r="C14" s="8"/>
      <c r="D14" s="8"/>
      <c r="E14" s="34"/>
      <c r="F14" s="8"/>
      <c r="G14" s="8"/>
      <c r="H14" s="8"/>
      <c r="I14" s="8"/>
    </row>
    <row r="15" spans="1:9" ht="12.75">
      <c r="A15" s="65" t="s">
        <v>17</v>
      </c>
      <c r="B15" s="66"/>
      <c r="C15" s="66"/>
      <c r="D15" s="8">
        <f>((B11*((PI()/B11/2)+B12))-PI())/(B9+E9)+((TAN(B10*(PI()/180)))-(B10*(PI()/180)))</f>
        <v>0.025781536556554553</v>
      </c>
      <c r="E15" s="39" t="s">
        <v>19</v>
      </c>
      <c r="F15" s="40"/>
      <c r="G15" s="41"/>
      <c r="H15" s="41"/>
      <c r="I15" s="40">
        <f>1.441*(D15^(1/3))-(0.374*D15)</f>
        <v>0.4160543691169949</v>
      </c>
    </row>
    <row r="16" spans="1:9" ht="12.75">
      <c r="A16" s="8"/>
      <c r="B16" s="34"/>
      <c r="C16" s="8"/>
      <c r="D16" s="8"/>
      <c r="E16" s="42"/>
      <c r="F16" s="43"/>
      <c r="G16" s="43"/>
      <c r="H16" s="43"/>
      <c r="I16" s="44">
        <f>I15+(D15-(TAN(I15)-I15))/((TAN(I15))^2)</f>
        <v>0.41599062986303753</v>
      </c>
    </row>
    <row r="17" spans="1:9" ht="12.75">
      <c r="A17" s="10" t="s">
        <v>7</v>
      </c>
      <c r="B17" s="34">
        <f>I17*(180/PI())</f>
        <v>23.834506778299048</v>
      </c>
      <c r="C17" s="8"/>
      <c r="D17" s="8"/>
      <c r="E17" s="43"/>
      <c r="F17" s="43"/>
      <c r="G17" s="43"/>
      <c r="H17" s="43"/>
      <c r="I17" s="44">
        <f>I16+(D15-(TAN(I16)-I16))/((TAN(I16))^2)</f>
        <v>0.41599061887022454</v>
      </c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10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</sheetData>
  <sheetProtection sheet="1" objects="1" scenarios="1" selectLockedCells="1"/>
  <mergeCells count="2">
    <mergeCell ref="D6:E6"/>
    <mergeCell ref="A15:C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Young</dc:creator>
  <cp:keywords/>
  <dc:description/>
  <cp:lastModifiedBy>Rick Smith</cp:lastModifiedBy>
  <cp:lastPrinted>2010-05-03T14:37:21Z</cp:lastPrinted>
  <dcterms:created xsi:type="dcterms:W3CDTF">2001-06-27T19:45:11Z</dcterms:created>
  <dcterms:modified xsi:type="dcterms:W3CDTF">2010-08-12T21:03:28Z</dcterms:modified>
  <cp:category/>
  <cp:version/>
  <cp:contentType/>
  <cp:contentStatus/>
</cp:coreProperties>
</file>